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3805" windowHeight="98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85" i="1"/>
  <c r="I91" s="1"/>
  <c r="M81"/>
  <c r="R12"/>
  <c r="M91"/>
  <c r="J18" l="1"/>
  <c r="I18" s="1"/>
  <c r="F36"/>
  <c r="H17"/>
  <c r="G112"/>
  <c r="G116" s="1"/>
  <c r="F91"/>
  <c r="F69"/>
  <c r="F51" l="1"/>
  <c r="F78" s="1"/>
  <c r="H18" l="1"/>
  <c r="H21" s="1"/>
  <c r="F28"/>
  <c r="F43" s="1"/>
  <c r="I21" l="1"/>
  <c r="T21" s="1"/>
  <c r="H22"/>
  <c r="F54" l="1"/>
  <c r="F93"/>
  <c r="F44"/>
  <c r="F46" s="1"/>
  <c r="F30"/>
  <c r="F37" s="1"/>
  <c r="F75" s="1"/>
  <c r="S21"/>
  <c r="F52" l="1"/>
  <c r="F55" s="1"/>
  <c r="F76" s="1"/>
  <c r="F92"/>
  <c r="F102" s="1"/>
  <c r="M92"/>
  <c r="F61"/>
  <c r="F70" s="1"/>
  <c r="F77" s="1"/>
  <c r="I92"/>
  <c r="I94" s="1"/>
  <c r="I93"/>
  <c r="M93" s="1"/>
  <c r="F103"/>
  <c r="F79" l="1"/>
  <c r="F95" s="1"/>
  <c r="F105" s="1"/>
  <c r="M94"/>
  <c r="F94"/>
  <c r="F104" s="1"/>
  <c r="I95" l="1"/>
  <c r="M95" s="1"/>
  <c r="M96" s="1"/>
  <c r="M97" s="1"/>
  <c r="F96"/>
  <c r="F97" s="1"/>
  <c r="F106"/>
  <c r="F107" s="1"/>
  <c r="I96" l="1"/>
  <c r="I97" s="1"/>
  <c r="J12" l="1"/>
  <c r="J14" s="1"/>
  <c r="M8"/>
  <c r="S19"/>
  <c r="M10"/>
</calcChain>
</file>

<file path=xl/sharedStrings.xml><?xml version="1.0" encoding="utf-8"?>
<sst xmlns="http://schemas.openxmlformats.org/spreadsheetml/2006/main" count="215" uniqueCount="128">
  <si>
    <t>Unit</t>
  </si>
  <si>
    <t>Raceway Water Volume</t>
  </si>
  <si>
    <t>gals</t>
  </si>
  <si>
    <t>Days Operation</t>
  </si>
  <si>
    <t>ARID Raceways/Acre</t>
  </si>
  <si>
    <t>/year</t>
  </si>
  <si>
    <t xml:space="preserve"> </t>
  </si>
  <si>
    <t>cm</t>
  </si>
  <si>
    <t>hectare</t>
  </si>
  <si>
    <t>acre</t>
  </si>
  <si>
    <t>liters</t>
  </si>
  <si>
    <r>
      <t>m</t>
    </r>
    <r>
      <rPr>
        <sz val="11"/>
        <color theme="0"/>
        <rFont val="Calibri"/>
        <family val="2"/>
      </rPr>
      <t>²</t>
    </r>
  </si>
  <si>
    <r>
      <t>ft</t>
    </r>
    <r>
      <rPr>
        <sz val="11"/>
        <color theme="0"/>
        <rFont val="Calibri"/>
        <family val="2"/>
      </rPr>
      <t>²</t>
    </r>
  </si>
  <si>
    <t>inch</t>
  </si>
  <si>
    <t>grams</t>
  </si>
  <si>
    <t>lb</t>
  </si>
  <si>
    <t>REVENUE</t>
  </si>
  <si>
    <t>lbs</t>
  </si>
  <si>
    <t>days</t>
  </si>
  <si>
    <t>SG</t>
  </si>
  <si>
    <t>~ Specific Gravity of Algea Oil</t>
  </si>
  <si>
    <t>mm</t>
  </si>
  <si>
    <r>
      <t>m</t>
    </r>
    <r>
      <rPr>
        <sz val="11"/>
        <color theme="0"/>
        <rFont val="Calibri"/>
        <family val="2"/>
      </rPr>
      <t>³</t>
    </r>
  </si>
  <si>
    <t>tons (2000)</t>
  </si>
  <si>
    <t>%</t>
  </si>
  <si>
    <t>Vol. Fiber for Feed/Acre/Year</t>
  </si>
  <si>
    <t>Algea Weight/Gallon</t>
  </si>
  <si>
    <t>Algae Production/Acre</t>
  </si>
  <si>
    <t>Algae/Acre/Year</t>
  </si>
  <si>
    <t>ARID Raceway Total Depth</t>
  </si>
  <si>
    <t>ARID Raceway Algae Depth</t>
  </si>
  <si>
    <t>Expected Oil Production Losses</t>
  </si>
  <si>
    <t>Units</t>
  </si>
  <si>
    <t>Cost of Goods Sold</t>
  </si>
  <si>
    <t>/lb</t>
  </si>
  <si>
    <t>Chemicals</t>
  </si>
  <si>
    <t>Labor</t>
  </si>
  <si>
    <t>G&amp;A</t>
  </si>
  <si>
    <t>/gal</t>
  </si>
  <si>
    <t xml:space="preserve">ARID Weight of Algae </t>
  </si>
  <si>
    <t>Price of Algae to Process to Oil/Month</t>
  </si>
  <si>
    <t>Net Quantity to Process</t>
  </si>
  <si>
    <t>Methanol (non-discounted)</t>
  </si>
  <si>
    <t>Polishing Agent</t>
  </si>
  <si>
    <t>Transportation</t>
  </si>
  <si>
    <t>Office &amp; Misc Expense</t>
  </si>
  <si>
    <t>Sales Commission</t>
  </si>
  <si>
    <t>-</t>
  </si>
  <si>
    <t>Glycerol - 95% pure</t>
  </si>
  <si>
    <t>RINS (1.5 per gallon)</t>
  </si>
  <si>
    <t>CCC Credit (NA)*</t>
  </si>
  <si>
    <t>Producer Credit</t>
  </si>
  <si>
    <r>
      <t>Feedstock</t>
    </r>
    <r>
      <rPr>
        <sz val="11"/>
        <rFont val="Calibri"/>
        <family val="2"/>
      </rPr>
      <t>²</t>
    </r>
  </si>
  <si>
    <t>Total Income per Gallon</t>
  </si>
  <si>
    <t>1. ALGEA CULTIVATION, GROWING and HARVESTING 1 acre algae/YEAR</t>
  </si>
  <si>
    <t>2. ALGEA CONVERSION TO ALGEA OIL and FEED 1 acre algae/YEAR</t>
  </si>
  <si>
    <t>Quantity of Algea/Acre/Year in Gallons</t>
  </si>
  <si>
    <t xml:space="preserve">Price of Algae to Process </t>
  </si>
  <si>
    <t>Quantity of Algea/Acre /Year</t>
  </si>
  <si>
    <t>ASSUMPTIONS: ALGAE PRODUCTION/ACRE/YEAR</t>
  </si>
  <si>
    <t>Sub-Total Algea Oil Cost Per gallon</t>
  </si>
  <si>
    <t>Sub-Total Algea Oil Cost Per Year</t>
  </si>
  <si>
    <t>Cost to Convert Algea Fiber/Ton</t>
  </si>
  <si>
    <t>Sub-Total Cost per Gallon Algea Culture, Grow and Harvest</t>
  </si>
  <si>
    <t>3. ALGEA OIL CONVERSION TO FUEL 1 acre algae/YEAR</t>
  </si>
  <si>
    <t>Costs</t>
  </si>
  <si>
    <t>Quantity of Oil to Convert to Biodiesel</t>
  </si>
  <si>
    <t>Sub-Total Cost to Convert to Biodiesel per Gallon</t>
  </si>
  <si>
    <t>TOTAL ALGEA CONVERSION TO ALGEA OIL and FEED</t>
  </si>
  <si>
    <t>Revenue</t>
  </si>
  <si>
    <t>Item</t>
  </si>
  <si>
    <t>Total Costs</t>
  </si>
  <si>
    <t>1. GRAND TOTAL ALGEA PRODUCTION</t>
  </si>
  <si>
    <t>2. TOTAL ALGEA CONVERSION TO ALGEA OIL and FEED</t>
  </si>
  <si>
    <t xml:space="preserve"> TOTAL ALGEA PRODUCTION</t>
  </si>
  <si>
    <t>TOTAL ALGEA OIL CONVERTED TO BIODIESEL</t>
  </si>
  <si>
    <t>3. TOTAL ALGEA OIL CONVERTED TO BIODIESEL</t>
  </si>
  <si>
    <t>GRAND TOTAL ALL COSTS</t>
  </si>
  <si>
    <t>4. SUMMARY OF COSTS OF GOOD SOLD  (1-3 above)</t>
  </si>
  <si>
    <t xml:space="preserve">    Cost per Gallon</t>
  </si>
  <si>
    <t>/ton</t>
  </si>
  <si>
    <t>TOTAL REVENUE PER GALLON ALGEA BIODIESEL</t>
  </si>
  <si>
    <t>EBITDA MARGIN</t>
  </si>
  <si>
    <t>EBITDA as % of Revenue</t>
  </si>
  <si>
    <t>Sub-Total Algea Fiber Prep. For Shipping (20%)</t>
  </si>
  <si>
    <t>TOTAL REVENUE PER TON FEED @$1,000/TON</t>
  </si>
  <si>
    <t>TOTAL REVENUE BIODIESELAND FEED</t>
  </si>
  <si>
    <t>Total Weight Algae Oil /Acre/Year Adjusted to 80%</t>
  </si>
  <si>
    <t>Utilities (90% solar)</t>
  </si>
  <si>
    <t>Utilities (zero solar)</t>
  </si>
  <si>
    <t>Electricity and gas for Boiler</t>
  </si>
  <si>
    <t>TOTAL REVENUE BIODIESEL and FEED</t>
  </si>
  <si>
    <t>1. One 13m x 33m x 0.1524m Raceway; Harvesting and Delivery Process</t>
  </si>
  <si>
    <t xml:space="preserve">2. Algea to Oil Production Unit </t>
  </si>
  <si>
    <t xml:space="preserve">    and BIODIESEL Production for 20,000,000 Gals./Year Production</t>
  </si>
  <si>
    <t>Total</t>
  </si>
  <si>
    <t>Unit Cost</t>
  </si>
  <si>
    <t>Algae production process (gross) capacity per year</t>
  </si>
  <si>
    <t>raceways</t>
  </si>
  <si>
    <t>Total algea processing area size</t>
  </si>
  <si>
    <t>acres</t>
  </si>
  <si>
    <t>System designed to process for biodiesel per year</t>
  </si>
  <si>
    <t>gals/year</t>
  </si>
  <si>
    <t>ARID Water usage (annual)</t>
  </si>
  <si>
    <t xml:space="preserve">Water </t>
  </si>
  <si>
    <t xml:space="preserve">Nutrients: phos., nitrate, ammonia etc. </t>
  </si>
  <si>
    <t>TOTAL REVENUE ALGEA BIODIESEL</t>
  </si>
  <si>
    <t>3. Supercritical Biodiesel Plant</t>
  </si>
  <si>
    <t>4. Feed Processing</t>
  </si>
  <si>
    <t>TOTAL CAPEX</t>
  </si>
  <si>
    <t>Notes on #6.</t>
  </si>
  <si>
    <t>5. REVENUE and EBITDA MARGIN for BIODIESEL and FEED 1 acre algae/YEAR</t>
  </si>
  <si>
    <t>7. CAPEX PROFORMA for ALGEA RACEWAYS, ALGEA EXTRACTION</t>
  </si>
  <si>
    <t>HO, $0.88</t>
  </si>
  <si>
    <t>HO-30</t>
  </si>
  <si>
    <t>California</t>
  </si>
  <si>
    <t>USA</t>
  </si>
  <si>
    <t>6. PROFORMA REVENUE and EBITDA MARGIN for BIODIESEL and FEED 17 acre algae/YEAR</t>
  </si>
  <si>
    <t xml:space="preserve">    20,000,000 galons per year facility</t>
  </si>
  <si>
    <t xml:space="preserve">LCFS (California or Approved Product Received from out of state  w/CI of 24) </t>
  </si>
  <si>
    <r>
      <t>Algea Yield /Raceway grams/m</t>
    </r>
    <r>
      <rPr>
        <sz val="11"/>
        <color theme="1"/>
        <rFont val="Calibri"/>
        <family val="2"/>
      </rPr>
      <t>²</t>
    </r>
  </si>
  <si>
    <t>ARID Raceway Size 13mx33m</t>
  </si>
  <si>
    <t>gal</t>
  </si>
  <si>
    <t>Net Quantity to Process (F21)</t>
  </si>
  <si>
    <t>Quantity of Algea/Acre/Year (F21) of total harvest adjusted</t>
  </si>
  <si>
    <t xml:space="preserve">B99 (Heating oil $1.81/gal), HO-140, California </t>
  </si>
  <si>
    <t>HO-140</t>
  </si>
  <si>
    <t>ARID Project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</si>
</sst>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164" formatCode="0.0000"/>
    <numFmt numFmtId="165" formatCode="&quot;$&quot;#,##0"/>
    <numFmt numFmtId="166" formatCode="&quot;$&quot;#,##0.00"/>
  </numFmts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rgb="FFFF0000"/>
      <name val="The Girl Next Do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right" vertical="center"/>
    </xf>
    <xf numFmtId="3" fontId="0" fillId="0" borderId="0" xfId="0" applyNumberFormat="1"/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0" fillId="0" borderId="0" xfId="0" applyBorder="1"/>
    <xf numFmtId="0" fontId="0" fillId="0" borderId="0" xfId="0" applyFill="1" applyBorder="1"/>
    <xf numFmtId="4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3" fontId="0" fillId="0" borderId="0" xfId="0" quotePrefix="1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0" fillId="3" borderId="0" xfId="0" applyFill="1"/>
    <xf numFmtId="166" fontId="2" fillId="0" borderId="0" xfId="0" applyNumberFormat="1" applyFont="1"/>
    <xf numFmtId="166" fontId="9" fillId="0" borderId="0" xfId="0" applyNumberFormat="1" applyFont="1"/>
    <xf numFmtId="0" fontId="0" fillId="0" borderId="0" xfId="0" applyFont="1"/>
    <xf numFmtId="0" fontId="0" fillId="0" borderId="0" xfId="0" applyFont="1" applyBorder="1"/>
    <xf numFmtId="4" fontId="3" fillId="0" borderId="0" xfId="0" applyNumberFormat="1" applyFont="1"/>
    <xf numFmtId="9" fontId="2" fillId="0" borderId="0" xfId="0" applyNumberFormat="1" applyFont="1"/>
    <xf numFmtId="4" fontId="0" fillId="0" borderId="0" xfId="0" applyNumberFormat="1" applyFont="1"/>
    <xf numFmtId="166" fontId="3" fillId="0" borderId="0" xfId="0" applyNumberFormat="1" applyFont="1"/>
    <xf numFmtId="3" fontId="0" fillId="0" borderId="0" xfId="0" applyNumberFormat="1" applyFont="1"/>
    <xf numFmtId="0" fontId="6" fillId="0" borderId="0" xfId="0" applyFont="1" applyProtection="1">
      <protection hidden="1"/>
    </xf>
    <xf numFmtId="3" fontId="6" fillId="0" borderId="0" xfId="0" applyNumberFormat="1" applyFont="1" applyProtection="1">
      <protection hidden="1"/>
    </xf>
    <xf numFmtId="42" fontId="6" fillId="0" borderId="0" xfId="0" applyNumberFormat="1" applyFont="1" applyProtection="1">
      <protection hidden="1"/>
    </xf>
    <xf numFmtId="6" fontId="6" fillId="0" borderId="0" xfId="0" applyNumberFormat="1" applyFont="1" applyProtection="1">
      <protection hidden="1"/>
    </xf>
    <xf numFmtId="42" fontId="11" fillId="0" borderId="0" xfId="0" applyNumberFormat="1" applyFont="1" applyProtection="1">
      <protection hidden="1"/>
    </xf>
    <xf numFmtId="0" fontId="10" fillId="0" borderId="0" xfId="0" applyFont="1" applyFill="1"/>
    <xf numFmtId="0" fontId="10" fillId="0" borderId="1" xfId="0" applyFont="1" applyFill="1" applyBorder="1"/>
    <xf numFmtId="4" fontId="6" fillId="0" borderId="0" xfId="0" applyNumberFormat="1" applyFont="1" applyProtection="1">
      <protection hidden="1"/>
    </xf>
    <xf numFmtId="0" fontId="0" fillId="0" borderId="2" xfId="0" applyBorder="1"/>
    <xf numFmtId="165" fontId="3" fillId="0" borderId="4" xfId="0" applyNumberFormat="1" applyFont="1" applyFill="1" applyBorder="1"/>
    <xf numFmtId="0" fontId="0" fillId="0" borderId="5" xfId="0" quotePrefix="1" applyFill="1" applyBorder="1"/>
    <xf numFmtId="165" fontId="3" fillId="0" borderId="0" xfId="0" applyNumberFormat="1" applyFont="1" applyFill="1" applyBorder="1"/>
    <xf numFmtId="0" fontId="0" fillId="0" borderId="2" xfId="0" quotePrefix="1" applyFill="1" applyBorder="1"/>
    <xf numFmtId="165" fontId="0" fillId="0" borderId="0" xfId="0" applyNumberFormat="1" applyFont="1" applyFill="1" applyBorder="1"/>
    <xf numFmtId="165" fontId="3" fillId="5" borderId="4" xfId="0" applyNumberFormat="1" applyFont="1" applyFill="1" applyBorder="1"/>
    <xf numFmtId="165" fontId="3" fillId="5" borderId="0" xfId="0" applyNumberFormat="1" applyFont="1" applyFill="1" applyBorder="1"/>
    <xf numFmtId="3" fontId="12" fillId="0" borderId="2" xfId="0" applyNumberFormat="1" applyFont="1" applyBorder="1" applyProtection="1">
      <protection hidden="1"/>
    </xf>
    <xf numFmtId="165" fontId="3" fillId="5" borderId="8" xfId="0" applyNumberFormat="1" applyFont="1" applyFill="1" applyBorder="1"/>
    <xf numFmtId="165" fontId="3" fillId="4" borderId="8" xfId="0" applyNumberFormat="1" applyFont="1" applyFill="1" applyBorder="1"/>
    <xf numFmtId="0" fontId="12" fillId="0" borderId="0" xfId="0" quotePrefix="1" applyFont="1" applyFill="1" applyBorder="1" applyProtection="1">
      <protection hidden="1"/>
    </xf>
    <xf numFmtId="165" fontId="0" fillId="0" borderId="11" xfId="0" applyNumberFormat="1" applyFont="1" applyFill="1" applyBorder="1"/>
    <xf numFmtId="0" fontId="0" fillId="0" borderId="12" xfId="0" quotePrefix="1" applyFill="1" applyBorder="1"/>
    <xf numFmtId="0" fontId="0" fillId="0" borderId="4" xfId="0" applyBorder="1" applyAlignment="1">
      <alignment horizontal="right" vertical="center"/>
    </xf>
    <xf numFmtId="3" fontId="0" fillId="0" borderId="4" xfId="0" applyNumberFormat="1" applyFont="1" applyBorder="1" applyAlignment="1">
      <alignment horizontal="right" vertical="center"/>
    </xf>
    <xf numFmtId="0" fontId="0" fillId="3" borderId="2" xfId="0" applyFill="1" applyBorder="1"/>
    <xf numFmtId="0" fontId="4" fillId="3" borderId="2" xfId="0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/>
    <xf numFmtId="15" fontId="13" fillId="0" borderId="12" xfId="0" applyNumberFormat="1" applyFont="1" applyBorder="1" applyAlignment="1" applyProtection="1">
      <alignment horizontal="right"/>
      <protection hidden="1"/>
    </xf>
    <xf numFmtId="4" fontId="6" fillId="0" borderId="0" xfId="0" applyNumberFormat="1" applyFont="1" applyBorder="1" applyProtection="1">
      <protection hidden="1"/>
    </xf>
    <xf numFmtId="4" fontId="6" fillId="0" borderId="0" xfId="0" quotePrefix="1" applyNumberFormat="1" applyFont="1" applyBorder="1" applyAlignment="1" applyProtection="1">
      <alignment horizontal="right"/>
      <protection hidden="1"/>
    </xf>
    <xf numFmtId="4" fontId="11" fillId="0" borderId="0" xfId="0" applyNumberFormat="1" applyFont="1" applyBorder="1" applyProtection="1">
      <protection hidden="1"/>
    </xf>
    <xf numFmtId="0" fontId="0" fillId="0" borderId="4" xfId="0" applyFont="1" applyBorder="1"/>
    <xf numFmtId="0" fontId="0" fillId="0" borderId="5" xfId="0" applyFont="1" applyBorder="1"/>
    <xf numFmtId="0" fontId="0" fillId="5" borderId="2" xfId="0" applyFont="1" applyFill="1" applyBorder="1"/>
    <xf numFmtId="10" fontId="3" fillId="0" borderId="4" xfId="0" applyNumberFormat="1" applyFont="1" applyBorder="1"/>
    <xf numFmtId="0" fontId="0" fillId="0" borderId="11" xfId="0" applyFont="1" applyBorder="1"/>
    <xf numFmtId="165" fontId="6" fillId="0" borderId="11" xfId="0" applyNumberFormat="1" applyFont="1" applyFill="1" applyBorder="1" applyProtection="1">
      <protection hidden="1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Protection="1">
      <protection hidden="1"/>
    </xf>
    <xf numFmtId="0" fontId="3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" fillId="4" borderId="7" xfId="0" applyFont="1" applyFill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3" fillId="0" borderId="3" xfId="0" applyFont="1" applyFill="1" applyBorder="1" applyAlignment="1">
      <alignment horizontal="left" indent="1"/>
    </xf>
    <xf numFmtId="0" fontId="3" fillId="5" borderId="3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6" fillId="0" borderId="0" xfId="0" applyFont="1" applyAlignment="1" applyProtection="1">
      <alignment horizontal="left" indent="1"/>
      <protection hidden="1"/>
    </xf>
    <xf numFmtId="0" fontId="11" fillId="5" borderId="7" xfId="0" applyFont="1" applyFill="1" applyBorder="1" applyAlignment="1" applyProtection="1">
      <alignment horizontal="left" indent="1"/>
      <protection hidden="1"/>
    </xf>
    <xf numFmtId="0" fontId="11" fillId="0" borderId="0" xfId="0" applyFont="1" applyFill="1" applyBorder="1" applyAlignment="1" applyProtection="1">
      <alignment horizontal="left" indent="1"/>
      <protection hidden="1"/>
    </xf>
    <xf numFmtId="0" fontId="0" fillId="0" borderId="1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 applyProtection="1">
      <alignment horizontal="left" indent="1"/>
      <protection hidden="1"/>
    </xf>
    <xf numFmtId="0" fontId="3" fillId="0" borderId="10" xfId="0" applyFont="1" applyBorder="1" applyAlignment="1">
      <alignment horizontal="left" indent="1"/>
    </xf>
    <xf numFmtId="0" fontId="6" fillId="0" borderId="13" xfId="0" applyFont="1" applyBorder="1" applyAlignment="1" applyProtection="1">
      <alignment horizontal="left" indent="1"/>
      <protection hidden="1"/>
    </xf>
    <xf numFmtId="0" fontId="11" fillId="0" borderId="13" xfId="0" applyFont="1" applyBorder="1" applyAlignment="1" applyProtection="1">
      <alignment horizontal="left" indent="1"/>
      <protection hidden="1"/>
    </xf>
    <xf numFmtId="4" fontId="11" fillId="0" borderId="10" xfId="0" applyNumberFormat="1" applyFont="1" applyFill="1" applyBorder="1" applyAlignment="1" applyProtection="1">
      <alignment horizontal="left" indent="1"/>
      <protection hidden="1"/>
    </xf>
    <xf numFmtId="4" fontId="11" fillId="0" borderId="0" xfId="0" applyNumberFormat="1" applyFont="1" applyFill="1" applyBorder="1" applyAlignment="1" applyProtection="1">
      <alignment horizontal="left" indent="1"/>
      <protection hidden="1"/>
    </xf>
    <xf numFmtId="0" fontId="11" fillId="0" borderId="3" xfId="0" applyFont="1" applyFill="1" applyBorder="1" applyAlignment="1" applyProtection="1">
      <alignment horizontal="left" indent="1"/>
      <protection hidden="1"/>
    </xf>
    <xf numFmtId="0" fontId="3" fillId="5" borderId="13" xfId="0" applyFont="1" applyFill="1" applyBorder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0" fillId="0" borderId="4" xfId="0" applyBorder="1" applyAlignment="1">
      <alignment horizontal="left" indent="1"/>
    </xf>
    <xf numFmtId="165" fontId="6" fillId="0" borderId="0" xfId="0" applyNumberFormat="1" applyFont="1" applyFill="1" applyBorder="1" applyProtection="1">
      <protection hidden="1"/>
    </xf>
    <xf numFmtId="165" fontId="6" fillId="0" borderId="4" xfId="0" applyNumberFormat="1" applyFont="1" applyFill="1" applyBorder="1" applyProtection="1">
      <protection hidden="1"/>
    </xf>
    <xf numFmtId="165" fontId="6" fillId="5" borderId="0" xfId="0" applyNumberFormat="1" applyFont="1" applyFill="1" applyBorder="1" applyProtection="1">
      <protection hidden="1"/>
    </xf>
    <xf numFmtId="10" fontId="11" fillId="0" borderId="0" xfId="0" applyNumberFormat="1" applyFont="1" applyFill="1" applyBorder="1" applyProtection="1">
      <protection hidden="1"/>
    </xf>
    <xf numFmtId="4" fontId="11" fillId="0" borderId="10" xfId="0" applyNumberFormat="1" applyFont="1" applyFill="1" applyBorder="1" applyAlignment="1" applyProtection="1">
      <alignment horizontal="left" indent="2"/>
      <protection hidden="1"/>
    </xf>
    <xf numFmtId="0" fontId="3" fillId="0" borderId="0" xfId="0" applyFont="1" applyAlignment="1">
      <alignment horizontal="left" indent="2"/>
    </xf>
    <xf numFmtId="165" fontId="0" fillId="0" borderId="12" xfId="0" quotePrefix="1" applyNumberFormat="1" applyFill="1" applyBorder="1"/>
    <xf numFmtId="0" fontId="14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9" fontId="14" fillId="0" borderId="0" xfId="0" applyNumberFormat="1" applyFont="1" applyAlignment="1">
      <alignment horizontal="right" vertical="center"/>
    </xf>
    <xf numFmtId="9" fontId="14" fillId="0" borderId="4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indent="1"/>
    </xf>
    <xf numFmtId="9" fontId="1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166" fontId="14" fillId="0" borderId="0" xfId="0" applyNumberFormat="1" applyFont="1" applyBorder="1" applyProtection="1">
      <protection hidden="1"/>
    </xf>
    <xf numFmtId="4" fontId="14" fillId="0" borderId="0" xfId="0" applyNumberFormat="1" applyFont="1" applyBorder="1" applyProtection="1">
      <protection hidden="1"/>
    </xf>
    <xf numFmtId="4" fontId="11" fillId="0" borderId="3" xfId="0" applyNumberFormat="1" applyFont="1" applyFill="1" applyBorder="1" applyAlignment="1" applyProtection="1">
      <alignment horizontal="left" indent="1"/>
      <protection hidden="1"/>
    </xf>
    <xf numFmtId="3" fontId="6" fillId="0" borderId="4" xfId="0" applyNumberFormat="1" applyFont="1" applyFill="1" applyBorder="1" applyProtection="1">
      <protection hidden="1"/>
    </xf>
    <xf numFmtId="0" fontId="0" fillId="0" borderId="0" xfId="0" applyAlignment="1">
      <alignment horizontal="left" indent="2"/>
    </xf>
    <xf numFmtId="0" fontId="3" fillId="0" borderId="3" xfId="0" applyFont="1" applyBorder="1" applyAlignment="1">
      <alignment horizontal="left" indent="2"/>
    </xf>
    <xf numFmtId="3" fontId="0" fillId="0" borderId="2" xfId="0" applyNumberFormat="1" applyFont="1" applyBorder="1"/>
    <xf numFmtId="165" fontId="3" fillId="0" borderId="5" xfId="0" applyNumberFormat="1" applyFont="1" applyBorder="1"/>
    <xf numFmtId="0" fontId="3" fillId="0" borderId="13" xfId="0" applyFont="1" applyFill="1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0" fillId="0" borderId="12" xfId="0" applyFont="1" applyBorder="1"/>
    <xf numFmtId="0" fontId="15" fillId="0" borderId="2" xfId="0" quotePrefix="1" applyFont="1" applyBorder="1"/>
    <xf numFmtId="0" fontId="15" fillId="0" borderId="2" xfId="0" applyFont="1" applyBorder="1"/>
    <xf numFmtId="0" fontId="15" fillId="0" borderId="5" xfId="0" quotePrefix="1" applyFont="1" applyFill="1" applyBorder="1"/>
    <xf numFmtId="0" fontId="15" fillId="0" borderId="2" xfId="0" quotePrefix="1" applyFont="1" applyFill="1" applyBorder="1"/>
    <xf numFmtId="0" fontId="15" fillId="5" borderId="5" xfId="0" quotePrefix="1" applyFont="1" applyFill="1" applyBorder="1"/>
    <xf numFmtId="0" fontId="15" fillId="4" borderId="9" xfId="0" quotePrefix="1" applyFont="1" applyFill="1" applyBorder="1"/>
    <xf numFmtId="0" fontId="15" fillId="5" borderId="9" xfId="0" quotePrefix="1" applyFont="1" applyFill="1" applyBorder="1" applyProtection="1">
      <protection hidden="1"/>
    </xf>
    <xf numFmtId="0" fontId="15" fillId="0" borderId="12" xfId="0" quotePrefix="1" applyFont="1" applyFill="1" applyBorder="1"/>
    <xf numFmtId="0" fontId="15" fillId="0" borderId="5" xfId="0" quotePrefix="1" applyFont="1" applyBorder="1"/>
    <xf numFmtId="0" fontId="15" fillId="0" borderId="5" xfId="0" applyFont="1" applyBorder="1"/>
    <xf numFmtId="15" fontId="0" fillId="0" borderId="0" xfId="0" applyNumberFormat="1"/>
    <xf numFmtId="15" fontId="11" fillId="0" borderId="0" xfId="0" applyNumberFormat="1" applyFont="1" applyFill="1" applyBorder="1" applyAlignment="1" applyProtection="1">
      <alignment horizontal="left" indent="1"/>
      <protection hidden="1"/>
    </xf>
    <xf numFmtId="15" fontId="11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0" fontId="1" fillId="2" borderId="0" xfId="0" applyFont="1" applyFill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165" fontId="0" fillId="0" borderId="0" xfId="0" applyNumberFormat="1" applyFont="1"/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7" fillId="3" borderId="0" xfId="0" applyFont="1" applyFill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indent="1"/>
    </xf>
    <xf numFmtId="0" fontId="4" fillId="0" borderId="6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U125"/>
  <sheetViews>
    <sheetView tabSelected="1" topLeftCell="D1" workbookViewId="0">
      <selection activeCell="E3" sqref="E3"/>
    </sheetView>
  </sheetViews>
  <sheetFormatPr defaultRowHeight="15"/>
  <cols>
    <col min="2" max="2" width="33.140625" customWidth="1"/>
    <col min="3" max="3" width="18.28515625" customWidth="1"/>
    <col min="5" max="5" width="68.5703125" customWidth="1"/>
    <col min="6" max="6" width="15" customWidth="1"/>
    <col min="7" max="7" width="12" customWidth="1"/>
    <col min="8" max="8" width="11.7109375" customWidth="1"/>
    <col min="9" max="9" width="10.85546875" customWidth="1"/>
    <col min="10" max="10" width="13" customWidth="1"/>
    <col min="11" max="11" width="5" customWidth="1"/>
    <col min="12" max="12" width="5.5703125" customWidth="1"/>
    <col min="13" max="13" width="12" customWidth="1"/>
    <col min="14" max="14" width="5.85546875" hidden="1" customWidth="1"/>
    <col min="15" max="15" width="5.28515625" hidden="1" customWidth="1"/>
    <col min="16" max="16" width="6.28515625" hidden="1" customWidth="1"/>
    <col min="17" max="17" width="10" hidden="1" customWidth="1"/>
    <col min="18" max="18" width="9" hidden="1" customWidth="1"/>
    <col min="19" max="19" width="10.7109375" hidden="1" customWidth="1"/>
    <col min="20" max="20" width="10.140625" bestFit="1" customWidth="1"/>
    <col min="21" max="21" width="5" customWidth="1"/>
  </cols>
  <sheetData>
    <row r="3" spans="4:21" ht="48">
      <c r="E3" s="146" t="s">
        <v>127</v>
      </c>
      <c r="F3" s="124">
        <v>43961</v>
      </c>
    </row>
    <row r="6" spans="4:21" ht="23.25" customHeight="1">
      <c r="D6" s="31"/>
      <c r="E6" s="139" t="s">
        <v>59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47"/>
    </row>
    <row r="7" spans="4:21">
      <c r="D7" s="31"/>
      <c r="E7" s="86" t="s">
        <v>0</v>
      </c>
      <c r="F7" s="3" t="s">
        <v>24</v>
      </c>
      <c r="G7" s="3" t="s">
        <v>18</v>
      </c>
      <c r="H7" s="3" t="s">
        <v>23</v>
      </c>
      <c r="I7" s="3" t="s">
        <v>17</v>
      </c>
      <c r="J7" s="4" t="s">
        <v>14</v>
      </c>
      <c r="K7" s="4" t="s">
        <v>11</v>
      </c>
      <c r="L7" s="4" t="s">
        <v>22</v>
      </c>
      <c r="M7" s="3" t="s">
        <v>12</v>
      </c>
      <c r="N7" s="4" t="s">
        <v>7</v>
      </c>
      <c r="O7" s="4" t="s">
        <v>21</v>
      </c>
      <c r="P7" s="3" t="s">
        <v>13</v>
      </c>
      <c r="Q7" s="4" t="s">
        <v>8</v>
      </c>
      <c r="R7" s="3" t="s">
        <v>9</v>
      </c>
      <c r="S7" s="4" t="s">
        <v>10</v>
      </c>
      <c r="T7" s="3" t="s">
        <v>2</v>
      </c>
      <c r="U7" s="48" t="s">
        <v>19</v>
      </c>
    </row>
    <row r="8" spans="4:21">
      <c r="D8" s="31"/>
      <c r="E8" s="66" t="s">
        <v>120</v>
      </c>
      <c r="F8" s="1"/>
      <c r="G8" s="1">
        <v>1</v>
      </c>
      <c r="H8" s="1"/>
      <c r="I8" s="1"/>
      <c r="J8" s="1"/>
      <c r="K8" s="95">
        <v>55</v>
      </c>
      <c r="L8" s="1"/>
      <c r="M8" s="7">
        <f>+SUM(K8/10.764)</f>
        <v>5.1096246748420668</v>
      </c>
      <c r="N8" s="1"/>
      <c r="O8" s="1"/>
      <c r="P8" s="1"/>
      <c r="Q8" s="1"/>
      <c r="R8" s="1"/>
      <c r="S8" s="1"/>
      <c r="T8" s="1"/>
      <c r="U8" s="49"/>
    </row>
    <row r="9" spans="4:21">
      <c r="D9" s="31"/>
      <c r="E9" s="66" t="s">
        <v>26</v>
      </c>
      <c r="F9" s="1"/>
      <c r="G9" s="1"/>
      <c r="H9" s="1"/>
      <c r="I9" s="1">
        <v>7.55</v>
      </c>
      <c r="J9" s="1"/>
      <c r="K9" s="1"/>
      <c r="L9" s="1"/>
      <c r="M9" s="7"/>
      <c r="N9" s="1"/>
      <c r="O9" s="1"/>
      <c r="P9" s="1"/>
      <c r="Q9" s="1"/>
      <c r="R9" s="1"/>
      <c r="S9" s="1"/>
      <c r="T9" s="1"/>
      <c r="U9" s="49"/>
    </row>
    <row r="10" spans="4:21">
      <c r="D10" s="31"/>
      <c r="E10" s="66" t="s">
        <v>121</v>
      </c>
      <c r="F10" s="1"/>
      <c r="G10" s="8" t="s">
        <v>6</v>
      </c>
      <c r="H10" s="8"/>
      <c r="I10" s="8"/>
      <c r="J10" s="8"/>
      <c r="K10" s="8">
        <v>429</v>
      </c>
      <c r="L10" s="8"/>
      <c r="M10" s="8">
        <f>+SUM(K10*10.7639)</f>
        <v>4617.7130999999999</v>
      </c>
      <c r="N10" s="1"/>
      <c r="O10" s="1"/>
      <c r="P10" s="1"/>
      <c r="Q10" s="9"/>
      <c r="R10" s="1"/>
      <c r="S10" s="1"/>
      <c r="T10" s="1"/>
      <c r="U10" s="49"/>
    </row>
    <row r="11" spans="4:21">
      <c r="D11" s="31"/>
      <c r="E11" s="66" t="s">
        <v>4</v>
      </c>
      <c r="F11" s="1"/>
      <c r="G11" s="8"/>
      <c r="H11" s="8"/>
      <c r="I11" s="8"/>
      <c r="J11" s="8"/>
      <c r="K11" s="8"/>
      <c r="L11" s="8"/>
      <c r="M11" s="8"/>
      <c r="N11" s="1"/>
      <c r="O11" s="1"/>
      <c r="P11" s="1"/>
      <c r="Q11" s="9"/>
      <c r="R11" s="1">
        <v>8</v>
      </c>
      <c r="S11" s="1"/>
      <c r="T11" s="1"/>
      <c r="U11" s="49"/>
    </row>
    <row r="12" spans="4:21">
      <c r="D12" s="31"/>
      <c r="E12" s="66" t="s">
        <v>27</v>
      </c>
      <c r="F12" s="1"/>
      <c r="G12" s="1">
        <v>1</v>
      </c>
      <c r="H12" s="1"/>
      <c r="I12" s="1"/>
      <c r="J12" s="8">
        <f>+SUM(K8*K10)*R11</f>
        <v>188760</v>
      </c>
      <c r="K12" s="1"/>
      <c r="L12" s="1"/>
      <c r="M12" s="1"/>
      <c r="N12" s="1"/>
      <c r="O12" s="1"/>
      <c r="P12" s="1"/>
      <c r="Q12" s="1"/>
      <c r="R12" s="1">
        <f>+SUM(K8*R11)</f>
        <v>440</v>
      </c>
      <c r="S12" s="1"/>
      <c r="T12" s="1"/>
      <c r="U12" s="49"/>
    </row>
    <row r="13" spans="4:21">
      <c r="D13" s="31"/>
      <c r="E13" s="66" t="s">
        <v>3</v>
      </c>
      <c r="F13" s="1"/>
      <c r="G13" s="1">
        <v>300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9"/>
    </row>
    <row r="14" spans="4:21">
      <c r="D14" s="31"/>
      <c r="E14" s="66" t="s">
        <v>28</v>
      </c>
      <c r="F14" s="1"/>
      <c r="G14" s="1"/>
      <c r="H14" s="1"/>
      <c r="I14" s="1"/>
      <c r="J14" s="8">
        <f>+SUM(J12*G13)</f>
        <v>56628000</v>
      </c>
      <c r="K14" s="1"/>
      <c r="L14" s="1"/>
      <c r="M14" s="1"/>
      <c r="N14" s="1"/>
      <c r="O14" s="1"/>
      <c r="P14" s="1"/>
      <c r="Q14" s="1">
        <v>4.4999999999999998E-2</v>
      </c>
      <c r="R14" s="1">
        <v>1</v>
      </c>
      <c r="S14" s="1"/>
      <c r="T14" s="1"/>
      <c r="U14" s="49"/>
    </row>
    <row r="15" spans="4:21">
      <c r="D15" s="31"/>
      <c r="E15" s="66" t="s">
        <v>30</v>
      </c>
      <c r="F15" s="1"/>
      <c r="G15" s="1"/>
      <c r="H15" s="1"/>
      <c r="I15" s="1"/>
      <c r="J15" s="1"/>
      <c r="K15" s="1"/>
      <c r="L15" s="1"/>
      <c r="M15" s="1"/>
      <c r="N15" s="1">
        <v>0.154</v>
      </c>
      <c r="O15" s="1"/>
      <c r="P15" s="1">
        <v>0</v>
      </c>
      <c r="Q15" s="1"/>
      <c r="R15" s="1"/>
      <c r="S15" s="1"/>
      <c r="T15" s="1"/>
      <c r="U15" s="49"/>
    </row>
    <row r="16" spans="4:21">
      <c r="D16" s="31"/>
      <c r="E16" s="66" t="s">
        <v>29</v>
      </c>
      <c r="F16" s="1"/>
      <c r="G16" s="1"/>
      <c r="H16" s="1"/>
      <c r="I16" s="1"/>
      <c r="J16" s="1"/>
      <c r="K16" s="1"/>
      <c r="L16" s="1"/>
      <c r="M16" s="1"/>
      <c r="N16" s="1" t="s">
        <v>6</v>
      </c>
      <c r="O16" s="1">
        <v>1</v>
      </c>
      <c r="P16" s="1">
        <v>6</v>
      </c>
      <c r="Q16" s="1"/>
      <c r="R16" s="1"/>
      <c r="S16" s="1"/>
      <c r="T16" s="1"/>
      <c r="U16" s="49"/>
    </row>
    <row r="17" spans="4:21">
      <c r="D17" s="31"/>
      <c r="E17" s="66" t="s">
        <v>103</v>
      </c>
      <c r="F17" s="1"/>
      <c r="G17" s="1"/>
      <c r="H17" s="96">
        <f>+SUM(52000000/8)</f>
        <v>6500000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9"/>
    </row>
    <row r="18" spans="4:21">
      <c r="D18" s="31"/>
      <c r="E18" s="66" t="s">
        <v>39</v>
      </c>
      <c r="F18" s="1"/>
      <c r="G18" s="1"/>
      <c r="H18" s="2">
        <f>+SUM(I18/2000)</f>
        <v>4120.5364200000004</v>
      </c>
      <c r="I18" s="8">
        <f>+SUM(J18/1000)*2.205</f>
        <v>8241072.8399999999</v>
      </c>
      <c r="J18" s="8">
        <f>+SUM(K8*K10*L18*R11*G13)</f>
        <v>3737448000</v>
      </c>
      <c r="K18" s="1"/>
      <c r="L18" s="1">
        <v>66</v>
      </c>
      <c r="M18" s="1"/>
      <c r="N18" s="1"/>
      <c r="O18" s="1"/>
      <c r="P18" s="1"/>
      <c r="Q18" s="1"/>
      <c r="R18" s="1"/>
      <c r="S18" s="1"/>
      <c r="T18" s="1"/>
      <c r="U18" s="49"/>
    </row>
    <row r="19" spans="4:21">
      <c r="D19" s="31"/>
      <c r="E19" s="66" t="s">
        <v>1</v>
      </c>
      <c r="F19" s="1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8">
        <f>+SUM(T19*3.785)</f>
        <v>45420</v>
      </c>
      <c r="T19" s="8">
        <v>12000</v>
      </c>
      <c r="U19" s="49"/>
    </row>
    <row r="20" spans="4:21">
      <c r="D20" s="31"/>
      <c r="E20" s="66" t="s">
        <v>20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9">
        <v>86</v>
      </c>
    </row>
    <row r="21" spans="4:21">
      <c r="D21" s="31"/>
      <c r="E21" s="66" t="s">
        <v>87</v>
      </c>
      <c r="F21" s="97">
        <v>0.35</v>
      </c>
      <c r="G21" s="8" t="s">
        <v>6</v>
      </c>
      <c r="H21" s="8">
        <f>+SUM(H18*F21)</f>
        <v>1442.1877469999999</v>
      </c>
      <c r="I21" s="8">
        <f>+SUM(H21*2000)</f>
        <v>2884375.4939999999</v>
      </c>
      <c r="J21" s="8" t="s">
        <v>6</v>
      </c>
      <c r="K21" s="10"/>
      <c r="L21" s="10"/>
      <c r="M21" s="1"/>
      <c r="N21" s="1"/>
      <c r="O21" s="1"/>
      <c r="P21" s="1"/>
      <c r="Q21" s="1"/>
      <c r="R21" s="8"/>
      <c r="S21" s="8">
        <f>+SUM(T21*3.785)</f>
        <v>1446008.1118927153</v>
      </c>
      <c r="T21" s="12">
        <f>+SUM(I21/I9)</f>
        <v>382036.4892715232</v>
      </c>
      <c r="U21" s="49"/>
    </row>
    <row r="22" spans="4:21">
      <c r="D22" s="31"/>
      <c r="E22" s="87" t="s">
        <v>25</v>
      </c>
      <c r="F22" s="98">
        <v>0.2</v>
      </c>
      <c r="G22" s="45"/>
      <c r="H22" s="46">
        <f>+SUM(F22*H21)</f>
        <v>288.43754940000002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50"/>
    </row>
    <row r="23" spans="4:21">
      <c r="D23" s="5"/>
      <c r="E23" s="99"/>
      <c r="F23" s="100"/>
      <c r="G23" s="101"/>
      <c r="H23" s="102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4:21">
      <c r="F24" s="11"/>
      <c r="G24" s="1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4:21">
      <c r="D25" s="31"/>
      <c r="E25" s="129" t="s">
        <v>54</v>
      </c>
      <c r="F25" s="133" t="s">
        <v>65</v>
      </c>
      <c r="G25" s="140" t="s">
        <v>32</v>
      </c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4:21">
      <c r="D26" s="31"/>
      <c r="E26" s="129" t="s">
        <v>33</v>
      </c>
      <c r="F26" s="141"/>
      <c r="G26" s="142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4:21">
      <c r="D27" s="31"/>
      <c r="E27" s="64" t="s">
        <v>57</v>
      </c>
      <c r="F27" s="14">
        <v>0</v>
      </c>
      <c r="G27" s="114" t="s">
        <v>34</v>
      </c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4:21">
      <c r="D28" s="31"/>
      <c r="E28" s="64" t="s">
        <v>58</v>
      </c>
      <c r="F28" s="22">
        <f>I18</f>
        <v>8241072.8399999999</v>
      </c>
      <c r="G28" s="115" t="s">
        <v>17</v>
      </c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4:21">
      <c r="D29" s="31"/>
      <c r="E29" s="65" t="s">
        <v>31</v>
      </c>
      <c r="F29" s="19">
        <v>0</v>
      </c>
      <c r="G29" s="115"/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4:21">
      <c r="D30" s="31"/>
      <c r="E30" s="66" t="s">
        <v>123</v>
      </c>
      <c r="F30" s="22">
        <f>T21</f>
        <v>382036.4892715232</v>
      </c>
      <c r="G30" s="115" t="s">
        <v>122</v>
      </c>
      <c r="H30" s="1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4:21">
      <c r="D31" s="31"/>
      <c r="E31" s="66" t="s">
        <v>104</v>
      </c>
      <c r="F31" s="20">
        <v>0.3</v>
      </c>
      <c r="G31" s="114" t="s">
        <v>38</v>
      </c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4:21">
      <c r="D32" s="31"/>
      <c r="E32" s="66" t="s">
        <v>105</v>
      </c>
      <c r="F32" s="20">
        <v>0.57999999999999996</v>
      </c>
      <c r="G32" s="114" t="s">
        <v>38</v>
      </c>
      <c r="H32" s="1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4:21">
      <c r="D33" s="31"/>
      <c r="E33" s="65" t="s">
        <v>36</v>
      </c>
      <c r="F33" s="20">
        <v>0.24</v>
      </c>
      <c r="G33" s="114" t="s">
        <v>38</v>
      </c>
      <c r="H33" s="1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4:21">
      <c r="D34" s="31"/>
      <c r="E34" s="66" t="s">
        <v>88</v>
      </c>
      <c r="F34" s="20">
        <v>0.02</v>
      </c>
      <c r="G34" s="114" t="s">
        <v>38</v>
      </c>
      <c r="H34" s="1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4:21">
      <c r="D35" s="31"/>
      <c r="E35" s="65" t="s">
        <v>37</v>
      </c>
      <c r="F35" s="20">
        <v>0.08</v>
      </c>
      <c r="G35" s="114" t="s">
        <v>38</v>
      </c>
      <c r="H35" s="1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4:21">
      <c r="D36" s="31"/>
      <c r="E36" s="64" t="s">
        <v>63</v>
      </c>
      <c r="F36" s="18">
        <f>+SUM(F31:F35)</f>
        <v>1.22</v>
      </c>
      <c r="G36" s="114" t="s">
        <v>38</v>
      </c>
      <c r="H36" s="1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4:21">
      <c r="D37" s="31"/>
      <c r="E37" s="67" t="s">
        <v>74</v>
      </c>
      <c r="F37" s="41">
        <f>+SUM(F30*F36)</f>
        <v>466084.51691125828</v>
      </c>
      <c r="G37" s="119" t="s">
        <v>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4:21">
      <c r="E38" s="66"/>
      <c r="F38" s="11"/>
      <c r="G38" s="1"/>
      <c r="H38" s="1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4:21">
      <c r="E39" s="66"/>
      <c r="F39" s="11"/>
      <c r="G39" s="1"/>
      <c r="H39" s="1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4:21">
      <c r="D40" s="31"/>
      <c r="E40" s="129" t="s">
        <v>55</v>
      </c>
      <c r="F40" s="133" t="s">
        <v>65</v>
      </c>
      <c r="G40" s="140" t="s">
        <v>32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4:21">
      <c r="D41" s="31"/>
      <c r="E41" s="129" t="s">
        <v>33</v>
      </c>
      <c r="F41" s="141"/>
      <c r="G41" s="142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4:21">
      <c r="D42" s="31"/>
      <c r="E42" s="64" t="s">
        <v>40</v>
      </c>
      <c r="F42" s="14">
        <v>0</v>
      </c>
      <c r="G42" s="115" t="s">
        <v>15</v>
      </c>
      <c r="H42" s="16"/>
      <c r="I42" s="15"/>
      <c r="J42" s="16"/>
    </row>
    <row r="43" spans="4:21">
      <c r="D43" s="31"/>
      <c r="E43" s="64" t="s">
        <v>124</v>
      </c>
      <c r="F43" s="22">
        <f>F28</f>
        <v>8241072.8399999999</v>
      </c>
      <c r="G43" s="115" t="s">
        <v>17</v>
      </c>
      <c r="H43" s="16"/>
      <c r="I43" s="15"/>
      <c r="J43" s="16"/>
    </row>
    <row r="44" spans="4:21">
      <c r="D44" s="31"/>
      <c r="E44" s="64" t="s">
        <v>56</v>
      </c>
      <c r="F44" s="22">
        <f>+SUM(T21)</f>
        <v>382036.4892715232</v>
      </c>
      <c r="G44" s="114" t="s">
        <v>38</v>
      </c>
      <c r="H44" s="16"/>
      <c r="I44" s="15"/>
      <c r="J44" s="16"/>
    </row>
    <row r="45" spans="4:21">
      <c r="D45" s="31"/>
      <c r="E45" s="65" t="s">
        <v>31</v>
      </c>
      <c r="F45" s="19">
        <v>0.03</v>
      </c>
      <c r="G45" s="115"/>
      <c r="H45" s="16"/>
      <c r="I45" s="16"/>
      <c r="J45" s="16"/>
    </row>
    <row r="46" spans="4:21">
      <c r="D46" s="31"/>
      <c r="E46" s="66" t="s">
        <v>41</v>
      </c>
      <c r="F46" s="22">
        <f>+SUM(F44)-(1000-F45)</f>
        <v>381036.51927152323</v>
      </c>
      <c r="G46" s="114" t="s">
        <v>38</v>
      </c>
      <c r="H46" s="16"/>
      <c r="I46" s="16"/>
      <c r="J46" s="16"/>
    </row>
    <row r="47" spans="4:21">
      <c r="D47" s="31"/>
      <c r="E47" s="65" t="s">
        <v>35</v>
      </c>
      <c r="F47" s="20">
        <v>0.1</v>
      </c>
      <c r="G47" s="114" t="s">
        <v>38</v>
      </c>
      <c r="H47" s="16"/>
      <c r="I47" s="16"/>
      <c r="J47" s="16"/>
    </row>
    <row r="48" spans="4:21">
      <c r="D48" s="31"/>
      <c r="E48" s="65" t="s">
        <v>36</v>
      </c>
      <c r="F48" s="20">
        <v>0.14000000000000001</v>
      </c>
      <c r="G48" s="114" t="s">
        <v>38</v>
      </c>
      <c r="H48" s="16"/>
      <c r="I48" s="16"/>
      <c r="J48" s="16"/>
    </row>
    <row r="49" spans="4:21">
      <c r="D49" s="31"/>
      <c r="E49" s="66" t="s">
        <v>89</v>
      </c>
      <c r="F49" s="20">
        <v>0.12</v>
      </c>
      <c r="G49" s="114" t="s">
        <v>38</v>
      </c>
      <c r="H49" s="16"/>
      <c r="I49" s="16"/>
      <c r="J49" s="16"/>
    </row>
    <row r="50" spans="4:21">
      <c r="D50" s="31"/>
      <c r="E50" s="65" t="s">
        <v>37</v>
      </c>
      <c r="F50" s="20">
        <v>0.06</v>
      </c>
      <c r="G50" s="114" t="s">
        <v>38</v>
      </c>
      <c r="H50" s="16"/>
      <c r="I50" s="16"/>
      <c r="J50" s="16"/>
    </row>
    <row r="51" spans="4:21">
      <c r="D51" s="31"/>
      <c r="E51" s="64" t="s">
        <v>60</v>
      </c>
      <c r="F51" s="18">
        <f>+SUM(F47:F50)</f>
        <v>0.42</v>
      </c>
      <c r="G51" s="114" t="s">
        <v>38</v>
      </c>
      <c r="H51" s="16"/>
      <c r="I51" s="16"/>
      <c r="J51" s="16"/>
    </row>
    <row r="52" spans="4:21">
      <c r="D52" s="31"/>
      <c r="E52" s="68" t="s">
        <v>61</v>
      </c>
      <c r="F52" s="32">
        <f>+SUM(F46*F51)</f>
        <v>160035.33809403976</v>
      </c>
      <c r="G52" s="116" t="s">
        <v>5</v>
      </c>
      <c r="I52" s="16"/>
      <c r="J52" s="16"/>
    </row>
    <row r="53" spans="4:21">
      <c r="D53" s="31"/>
      <c r="E53" s="69" t="s">
        <v>62</v>
      </c>
      <c r="F53" s="36">
        <v>200</v>
      </c>
      <c r="G53" s="117" t="s">
        <v>80</v>
      </c>
      <c r="I53" s="16"/>
      <c r="J53" s="16"/>
    </row>
    <row r="54" spans="4:21">
      <c r="D54" s="31"/>
      <c r="E54" s="70" t="s">
        <v>84</v>
      </c>
      <c r="F54" s="32">
        <f>+SUM(H22*F53)</f>
        <v>57687.509880000005</v>
      </c>
      <c r="G54" s="116" t="s">
        <v>5</v>
      </c>
      <c r="I54" s="16"/>
      <c r="J54" s="16"/>
    </row>
    <row r="55" spans="4:21">
      <c r="D55" s="31"/>
      <c r="E55" s="71" t="s">
        <v>68</v>
      </c>
      <c r="F55" s="37">
        <f>+SUM(F52+F54)</f>
        <v>217722.84797403976</v>
      </c>
      <c r="G55" s="118" t="s">
        <v>5</v>
      </c>
      <c r="H55" s="16"/>
      <c r="I55" s="16"/>
      <c r="J55" s="16"/>
    </row>
    <row r="56" spans="4:21">
      <c r="D56" s="5"/>
      <c r="E56" s="72"/>
      <c r="F56" s="34"/>
      <c r="G56" s="6"/>
      <c r="H56" s="16"/>
      <c r="I56" s="16"/>
      <c r="J56" s="16"/>
    </row>
    <row r="57" spans="4:21">
      <c r="E57" s="64"/>
      <c r="F57" s="21"/>
      <c r="H57" s="16"/>
      <c r="I57" s="16"/>
      <c r="J57" s="16"/>
    </row>
    <row r="58" spans="4:21">
      <c r="D58" s="31"/>
      <c r="E58" s="129" t="s">
        <v>64</v>
      </c>
      <c r="F58" s="133" t="s">
        <v>65</v>
      </c>
      <c r="G58" s="135" t="s">
        <v>32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4:21">
      <c r="D59" s="31"/>
      <c r="E59" s="143" t="s">
        <v>33</v>
      </c>
      <c r="F59" s="141"/>
      <c r="G59" s="144"/>
      <c r="H59" s="29"/>
      <c r="I59" s="29"/>
      <c r="J59" s="29"/>
      <c r="K59" s="29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4:21">
      <c r="D60" s="31"/>
      <c r="E60" s="73" t="s">
        <v>52</v>
      </c>
      <c r="F60" s="30">
        <v>0</v>
      </c>
      <c r="G60" s="39"/>
      <c r="H60" s="23"/>
      <c r="I60" s="25"/>
    </row>
    <row r="61" spans="4:21">
      <c r="D61" s="31"/>
      <c r="E61" s="73" t="s">
        <v>66</v>
      </c>
      <c r="F61" s="24">
        <f>F46</f>
        <v>381036.51927152323</v>
      </c>
      <c r="G61" s="31" t="s">
        <v>122</v>
      </c>
      <c r="H61" s="23"/>
      <c r="I61" s="25"/>
    </row>
    <row r="62" spans="4:21">
      <c r="D62" s="31"/>
      <c r="E62" s="128" t="s">
        <v>42</v>
      </c>
      <c r="F62" s="30">
        <v>0.12167191044939824</v>
      </c>
      <c r="G62" s="114" t="s">
        <v>38</v>
      </c>
      <c r="H62" s="23"/>
      <c r="I62" s="25"/>
    </row>
    <row r="63" spans="4:21">
      <c r="D63" s="31"/>
      <c r="E63" s="73" t="s">
        <v>43</v>
      </c>
      <c r="F63" s="30">
        <v>0.06</v>
      </c>
      <c r="G63" s="114" t="s">
        <v>38</v>
      </c>
      <c r="H63" s="23"/>
      <c r="I63" s="25"/>
    </row>
    <row r="64" spans="4:21">
      <c r="D64" s="31"/>
      <c r="E64" s="73" t="s">
        <v>90</v>
      </c>
      <c r="F64" s="30">
        <v>0.11</v>
      </c>
      <c r="G64" s="114" t="s">
        <v>38</v>
      </c>
      <c r="H64" s="23"/>
      <c r="I64" s="25"/>
    </row>
    <row r="65" spans="4:9">
      <c r="D65" s="31"/>
      <c r="E65" s="73" t="s">
        <v>36</v>
      </c>
      <c r="F65" s="30">
        <v>0.142816</v>
      </c>
      <c r="G65" s="114" t="s">
        <v>38</v>
      </c>
      <c r="H65" s="23"/>
      <c r="I65" s="25"/>
    </row>
    <row r="66" spans="4:9">
      <c r="D66" s="31"/>
      <c r="E66" s="73" t="s">
        <v>44</v>
      </c>
      <c r="F66" s="30">
        <v>0</v>
      </c>
      <c r="G66" s="114" t="s">
        <v>38</v>
      </c>
      <c r="H66" s="23"/>
      <c r="I66" s="25"/>
    </row>
    <row r="67" spans="4:9">
      <c r="D67" s="31"/>
      <c r="E67" s="73" t="s">
        <v>45</v>
      </c>
      <c r="F67" s="30">
        <v>0.06</v>
      </c>
      <c r="G67" s="114" t="s">
        <v>38</v>
      </c>
      <c r="H67" s="23"/>
      <c r="I67" s="26"/>
    </row>
    <row r="68" spans="4:9">
      <c r="D68" s="31"/>
      <c r="E68" s="73" t="s">
        <v>46</v>
      </c>
      <c r="F68" s="30">
        <v>0.02</v>
      </c>
      <c r="G68" s="114" t="s">
        <v>38</v>
      </c>
      <c r="H68" s="23"/>
      <c r="I68" s="25"/>
    </row>
    <row r="69" spans="4:9">
      <c r="D69" s="31"/>
      <c r="E69" s="64" t="s">
        <v>67</v>
      </c>
      <c r="F69" s="18">
        <f>+SUM(F62:F68)</f>
        <v>0.51448791044939823</v>
      </c>
      <c r="G69" s="114" t="s">
        <v>38</v>
      </c>
      <c r="H69" s="23"/>
      <c r="I69" s="27"/>
    </row>
    <row r="70" spans="4:9">
      <c r="D70" s="31"/>
      <c r="E70" s="74" t="s">
        <v>75</v>
      </c>
      <c r="F70" s="40">
        <f>+SUM(F61*F69)</f>
        <v>196038.68260491785</v>
      </c>
      <c r="G70" s="120" t="s">
        <v>5</v>
      </c>
      <c r="H70" s="23"/>
      <c r="I70" s="27"/>
    </row>
    <row r="71" spans="4:9">
      <c r="D71" s="5"/>
      <c r="E71" s="75"/>
      <c r="F71" s="34"/>
      <c r="G71" s="42"/>
      <c r="H71" s="23"/>
      <c r="I71" s="27"/>
    </row>
    <row r="72" spans="4:9">
      <c r="D72" s="5"/>
      <c r="E72" s="75"/>
      <c r="F72" s="34"/>
      <c r="G72" s="42"/>
      <c r="H72" s="23"/>
      <c r="I72" s="27"/>
    </row>
    <row r="73" spans="4:9">
      <c r="D73" s="5"/>
      <c r="E73" s="129" t="s">
        <v>78</v>
      </c>
      <c r="F73" s="133" t="s">
        <v>71</v>
      </c>
      <c r="G73" s="135" t="s">
        <v>32</v>
      </c>
      <c r="H73" s="23"/>
      <c r="I73" s="27"/>
    </row>
    <row r="74" spans="4:9">
      <c r="D74" s="5"/>
      <c r="E74" s="143" t="s">
        <v>70</v>
      </c>
      <c r="F74" s="141"/>
      <c r="G74" s="144"/>
      <c r="H74" s="23"/>
      <c r="I74" s="27"/>
    </row>
    <row r="75" spans="4:9">
      <c r="D75" s="5"/>
      <c r="E75" s="76" t="s">
        <v>72</v>
      </c>
      <c r="F75" s="43">
        <f>F37</f>
        <v>466084.51691125828</v>
      </c>
      <c r="G75" s="121" t="s">
        <v>5</v>
      </c>
      <c r="H75" s="23"/>
      <c r="I75" s="27"/>
    </row>
    <row r="76" spans="4:9">
      <c r="D76" s="31"/>
      <c r="E76" s="77" t="s">
        <v>73</v>
      </c>
      <c r="F76" s="36">
        <f>F55</f>
        <v>217722.84797403976</v>
      </c>
      <c r="G76" s="117" t="s">
        <v>5</v>
      </c>
      <c r="H76" s="23"/>
      <c r="I76" s="27"/>
    </row>
    <row r="77" spans="4:9">
      <c r="D77" s="31"/>
      <c r="E77" s="78" t="s">
        <v>76</v>
      </c>
      <c r="F77" s="36">
        <f>F70</f>
        <v>196038.68260491785</v>
      </c>
      <c r="G77" s="117" t="s">
        <v>5</v>
      </c>
      <c r="H77" s="23"/>
      <c r="I77" s="25"/>
    </row>
    <row r="78" spans="4:9">
      <c r="D78" s="31"/>
      <c r="E78" s="65" t="s">
        <v>79</v>
      </c>
      <c r="F78" s="21">
        <f>+SUM(F36+F51+F69)</f>
        <v>2.1544879104493981</v>
      </c>
      <c r="G78" s="122" t="s">
        <v>38</v>
      </c>
      <c r="H78" s="23"/>
      <c r="I78" s="27"/>
    </row>
    <row r="79" spans="4:9">
      <c r="D79" s="5"/>
      <c r="E79" s="74" t="s">
        <v>77</v>
      </c>
      <c r="F79" s="40">
        <f>+SUM(F75:F77)</f>
        <v>879846.04749021586</v>
      </c>
      <c r="G79" s="118" t="s">
        <v>5</v>
      </c>
      <c r="H79" s="23"/>
      <c r="I79" s="27"/>
    </row>
    <row r="80" spans="4:9">
      <c r="D80" s="5"/>
      <c r="E80" s="75"/>
      <c r="F80" s="34"/>
      <c r="G80" s="42"/>
      <c r="H80" s="23"/>
      <c r="I80" s="27"/>
    </row>
    <row r="81" spans="4:14">
      <c r="D81" s="5"/>
      <c r="E81" s="125">
        <v>43879</v>
      </c>
      <c r="F81" s="34"/>
      <c r="G81" s="42"/>
      <c r="H81" s="23"/>
      <c r="I81" s="126">
        <v>44011</v>
      </c>
      <c r="L81" s="23"/>
      <c r="M81" s="126">
        <f>I81</f>
        <v>44011</v>
      </c>
    </row>
    <row r="82" spans="4:14">
      <c r="D82" s="5"/>
      <c r="E82" s="129" t="s">
        <v>111</v>
      </c>
      <c r="F82" s="133" t="s">
        <v>69</v>
      </c>
      <c r="G82" s="135" t="s">
        <v>32</v>
      </c>
      <c r="H82" s="23"/>
      <c r="I82" s="132" t="s">
        <v>69</v>
      </c>
      <c r="J82" s="135" t="s">
        <v>32</v>
      </c>
      <c r="L82" s="23"/>
      <c r="M82" s="132" t="s">
        <v>69</v>
      </c>
      <c r="N82" s="137" t="s">
        <v>32</v>
      </c>
    </row>
    <row r="83" spans="4:14">
      <c r="D83" s="5"/>
      <c r="E83" s="130" t="s">
        <v>33</v>
      </c>
      <c r="F83" s="134"/>
      <c r="G83" s="136"/>
      <c r="H83" s="23"/>
      <c r="I83" s="145" t="s">
        <v>115</v>
      </c>
      <c r="J83" s="136"/>
      <c r="L83" s="23"/>
      <c r="M83" s="145" t="s">
        <v>116</v>
      </c>
      <c r="N83" s="138"/>
    </row>
    <row r="84" spans="4:14">
      <c r="E84" s="79" t="s">
        <v>16</v>
      </c>
      <c r="F84" s="51"/>
      <c r="G84" s="52"/>
      <c r="H84" s="127" t="s">
        <v>113</v>
      </c>
      <c r="I84" s="51"/>
      <c r="J84" s="52"/>
      <c r="L84" s="127" t="s">
        <v>113</v>
      </c>
      <c r="M84" s="51"/>
      <c r="N84" s="52"/>
    </row>
    <row r="85" spans="4:14">
      <c r="E85" s="80" t="s">
        <v>125</v>
      </c>
      <c r="F85" s="103">
        <v>-0.17</v>
      </c>
      <c r="G85" s="114" t="s">
        <v>38</v>
      </c>
      <c r="H85" s="127" t="s">
        <v>126</v>
      </c>
      <c r="I85" s="103">
        <f>F85</f>
        <v>-0.17</v>
      </c>
      <c r="J85" s="114" t="s">
        <v>38</v>
      </c>
      <c r="L85" s="127" t="s">
        <v>114</v>
      </c>
      <c r="M85" s="103">
        <v>0.57999999999999996</v>
      </c>
      <c r="N85" s="114" t="s">
        <v>38</v>
      </c>
    </row>
    <row r="86" spans="4:14">
      <c r="E86" s="80" t="s">
        <v>48</v>
      </c>
      <c r="F86" s="53">
        <v>8.4174716506779379E-2</v>
      </c>
      <c r="G86" s="114" t="s">
        <v>38</v>
      </c>
      <c r="H86" s="23"/>
      <c r="I86" s="53">
        <v>8.4174716506779379E-2</v>
      </c>
      <c r="J86" s="114" t="s">
        <v>38</v>
      </c>
      <c r="L86" s="23"/>
      <c r="M86" s="53">
        <v>8.4174716506779379E-2</v>
      </c>
      <c r="N86" s="114" t="s">
        <v>38</v>
      </c>
    </row>
    <row r="87" spans="4:14">
      <c r="E87" s="80" t="s">
        <v>49</v>
      </c>
      <c r="F87" s="104">
        <v>0.86</v>
      </c>
      <c r="G87" s="114" t="s">
        <v>38</v>
      </c>
      <c r="H87" s="23"/>
      <c r="I87" s="104">
        <v>0.86</v>
      </c>
      <c r="J87" s="114" t="s">
        <v>38</v>
      </c>
      <c r="L87" s="23"/>
      <c r="M87" s="104">
        <v>0.77845230503039997</v>
      </c>
      <c r="N87" s="114" t="s">
        <v>38</v>
      </c>
    </row>
    <row r="88" spans="4:14">
      <c r="E88" s="80" t="s">
        <v>50</v>
      </c>
      <c r="F88" s="54" t="s">
        <v>47</v>
      </c>
      <c r="G88" s="114" t="s">
        <v>38</v>
      </c>
      <c r="H88" s="23"/>
      <c r="I88" s="54" t="s">
        <v>47</v>
      </c>
      <c r="J88" s="114" t="s">
        <v>38</v>
      </c>
      <c r="L88" s="23"/>
      <c r="M88" s="54" t="s">
        <v>47</v>
      </c>
      <c r="N88" s="114" t="s">
        <v>38</v>
      </c>
    </row>
    <row r="89" spans="4:14">
      <c r="E89" s="80" t="s">
        <v>51</v>
      </c>
      <c r="F89" s="53">
        <v>0.98980000000000001</v>
      </c>
      <c r="G89" s="114" t="s">
        <v>38</v>
      </c>
      <c r="H89" s="23"/>
      <c r="I89" s="53">
        <v>0.98980000000000001</v>
      </c>
      <c r="J89" s="114" t="s">
        <v>38</v>
      </c>
      <c r="L89" s="23"/>
      <c r="M89" s="53">
        <v>0.98980000000000001</v>
      </c>
      <c r="N89" s="114" t="s">
        <v>38</v>
      </c>
    </row>
    <row r="90" spans="4:14">
      <c r="E90" s="80" t="s">
        <v>119</v>
      </c>
      <c r="F90" s="104">
        <v>1.71</v>
      </c>
      <c r="G90" s="114" t="s">
        <v>38</v>
      </c>
      <c r="H90" s="23"/>
      <c r="I90" s="104">
        <v>1.71</v>
      </c>
      <c r="J90" s="114" t="s">
        <v>38</v>
      </c>
      <c r="L90" s="23"/>
      <c r="M90" s="104">
        <v>0</v>
      </c>
      <c r="N90" s="114" t="s">
        <v>38</v>
      </c>
    </row>
    <row r="91" spans="4:14">
      <c r="E91" s="81" t="s">
        <v>53</v>
      </c>
      <c r="F91" s="55">
        <f>+SUM(F85:F90)</f>
        <v>3.4739747165067794</v>
      </c>
      <c r="G91" s="114" t="s">
        <v>38</v>
      </c>
      <c r="H91" s="23"/>
      <c r="I91" s="55">
        <f>+SUM(I85:I90)</f>
        <v>3.4739747165067794</v>
      </c>
      <c r="J91" s="114" t="s">
        <v>38</v>
      </c>
      <c r="L91" s="23"/>
      <c r="M91" s="55">
        <f>+SUM(M85:M90)</f>
        <v>2.4324270215371793</v>
      </c>
      <c r="N91" s="114" t="s">
        <v>38</v>
      </c>
    </row>
    <row r="92" spans="4:14">
      <c r="E92" s="82" t="s">
        <v>106</v>
      </c>
      <c r="F92" s="61">
        <f>+SUM(F46*F91)</f>
        <v>1323711.2340150198</v>
      </c>
      <c r="G92" s="121"/>
      <c r="H92" s="27"/>
      <c r="I92" s="61">
        <f>+SUM(I91*F46)</f>
        <v>1323711.2340150198</v>
      </c>
      <c r="J92" s="121"/>
      <c r="L92" s="27"/>
      <c r="M92" s="61">
        <f>+SUM(M91*F46)</f>
        <v>926843.52566852525</v>
      </c>
      <c r="N92" s="121"/>
    </row>
    <row r="93" spans="4:14">
      <c r="D93" s="31"/>
      <c r="E93" s="83" t="s">
        <v>85</v>
      </c>
      <c r="F93" s="63">
        <f>+SUM(H22*1000)</f>
        <v>288437.54940000002</v>
      </c>
      <c r="G93" s="117"/>
      <c r="H93" s="27"/>
      <c r="I93" s="63">
        <f>F93</f>
        <v>288437.54940000002</v>
      </c>
      <c r="J93" s="117"/>
      <c r="L93" s="27"/>
      <c r="M93" s="63">
        <f>I93</f>
        <v>288437.54940000002</v>
      </c>
      <c r="N93" s="117"/>
    </row>
    <row r="94" spans="4:14">
      <c r="D94" s="31"/>
      <c r="E94" s="105" t="s">
        <v>91</v>
      </c>
      <c r="F94" s="106">
        <f>+SUM(F92+F93)</f>
        <v>1612148.78341502</v>
      </c>
      <c r="G94" s="116"/>
      <c r="H94" s="27"/>
      <c r="I94" s="106">
        <f>+SUM(I92+I93)</f>
        <v>1612148.78341502</v>
      </c>
      <c r="J94" s="116"/>
      <c r="L94" s="27"/>
      <c r="M94" s="106">
        <f>+SUM(M92+M93)</f>
        <v>1215281.0750685253</v>
      </c>
      <c r="N94" s="116"/>
    </row>
    <row r="95" spans="4:14">
      <c r="E95" s="84" t="s">
        <v>77</v>
      </c>
      <c r="F95" s="62">
        <f>F79</f>
        <v>879846.04749021586</v>
      </c>
      <c r="G95" s="116" t="s">
        <v>5</v>
      </c>
      <c r="H95" s="16"/>
      <c r="I95" s="62">
        <f>F95</f>
        <v>879846.04749021586</v>
      </c>
      <c r="J95" s="116" t="s">
        <v>5</v>
      </c>
      <c r="L95" s="16"/>
      <c r="M95" s="62">
        <f>I95</f>
        <v>879846.04749021586</v>
      </c>
      <c r="N95" s="116" t="s">
        <v>5</v>
      </c>
    </row>
    <row r="96" spans="4:14">
      <c r="E96" s="85" t="s">
        <v>82</v>
      </c>
      <c r="F96" s="38">
        <f>+SUM(F94-F95)</f>
        <v>732302.73592480412</v>
      </c>
      <c r="G96" s="58"/>
      <c r="H96" s="16"/>
      <c r="I96" s="38">
        <f>+SUM(I94-I95)</f>
        <v>732302.73592480412</v>
      </c>
      <c r="J96" s="58"/>
      <c r="L96" s="16"/>
      <c r="M96" s="38">
        <f>+SUM(M94-M95)</f>
        <v>335435.02757830941</v>
      </c>
      <c r="N96" s="58"/>
    </row>
    <row r="97" spans="4:14">
      <c r="E97" s="68" t="s">
        <v>83</v>
      </c>
      <c r="F97" s="59">
        <f>+SUM(F96/F92)</f>
        <v>0.55321940095923883</v>
      </c>
      <c r="G97" s="57"/>
      <c r="H97" s="16"/>
      <c r="I97" s="59">
        <f>+SUM(I96/I92)</f>
        <v>0.55321940095923883</v>
      </c>
      <c r="J97" s="57"/>
      <c r="L97" s="16"/>
      <c r="M97" s="59">
        <f>+SUM(M96/M92)</f>
        <v>0.3619111730174332</v>
      </c>
      <c r="N97" s="57"/>
    </row>
    <row r="98" spans="4:14">
      <c r="D98" s="5"/>
      <c r="E98" s="17"/>
      <c r="F98" s="17"/>
      <c r="G98" s="60"/>
      <c r="H98" s="16"/>
      <c r="I98" s="16"/>
      <c r="J98" s="131">
        <v>605346.18149897526</v>
      </c>
    </row>
    <row r="99" spans="4:14">
      <c r="D99" s="5"/>
      <c r="E99" s="17"/>
      <c r="F99" s="17"/>
      <c r="G99" s="17"/>
      <c r="H99" s="16"/>
      <c r="I99" s="16"/>
      <c r="J99" s="131">
        <v>412479.46176851168</v>
      </c>
    </row>
    <row r="100" spans="4:14">
      <c r="D100" s="5"/>
      <c r="E100" s="129" t="s">
        <v>117</v>
      </c>
      <c r="F100" s="133" t="s">
        <v>69</v>
      </c>
      <c r="G100" s="135" t="s">
        <v>32</v>
      </c>
      <c r="H100" s="16"/>
      <c r="I100" s="16"/>
      <c r="J100" s="131">
        <v>182283.69950957131</v>
      </c>
    </row>
    <row r="101" spans="4:14">
      <c r="D101" s="5"/>
      <c r="E101" s="130" t="s">
        <v>118</v>
      </c>
      <c r="F101" s="134"/>
      <c r="G101" s="136"/>
      <c r="H101" s="16"/>
      <c r="I101" s="16"/>
      <c r="J101" s="131">
        <v>12106923.629979506</v>
      </c>
    </row>
    <row r="102" spans="4:14">
      <c r="E102" s="82" t="s">
        <v>81</v>
      </c>
      <c r="F102" s="61">
        <f>+SUM(F92*20)</f>
        <v>26474224.680300396</v>
      </c>
      <c r="G102" s="44"/>
      <c r="H102" s="16"/>
      <c r="I102" s="16"/>
      <c r="J102" s="16"/>
    </row>
    <row r="103" spans="4:14">
      <c r="D103" s="31"/>
      <c r="E103" s="83" t="s">
        <v>85</v>
      </c>
      <c r="F103" s="88">
        <f>+SUM(F93*20)</f>
        <v>5768750.9879999999</v>
      </c>
      <c r="G103" s="35"/>
      <c r="H103" s="16"/>
      <c r="I103" s="16"/>
      <c r="J103" s="16"/>
    </row>
    <row r="104" spans="4:14">
      <c r="D104" s="31"/>
      <c r="E104" s="83" t="s">
        <v>86</v>
      </c>
      <c r="F104" s="88">
        <f>+SUM(F94*20)</f>
        <v>32242975.668300398</v>
      </c>
      <c r="G104" s="35"/>
      <c r="H104" s="16"/>
      <c r="I104" s="16"/>
      <c r="J104" s="16"/>
    </row>
    <row r="105" spans="4:14">
      <c r="E105" s="84" t="s">
        <v>77</v>
      </c>
      <c r="F105" s="89">
        <f>+SUM(F95*20)</f>
        <v>17596920.949804317</v>
      </c>
      <c r="G105" s="33" t="s">
        <v>5</v>
      </c>
      <c r="H105" s="16"/>
      <c r="I105" s="16"/>
      <c r="J105" s="16"/>
    </row>
    <row r="106" spans="4:14">
      <c r="E106" s="85" t="s">
        <v>82</v>
      </c>
      <c r="F106" s="90">
        <f>+SUM(F104-F105)</f>
        <v>14646054.71849608</v>
      </c>
      <c r="G106" s="58"/>
      <c r="H106" s="16"/>
      <c r="I106" s="16"/>
      <c r="J106" s="16"/>
    </row>
    <row r="107" spans="4:14">
      <c r="E107" s="68" t="s">
        <v>83</v>
      </c>
      <c r="F107" s="91">
        <f>+SUM(F106/F102)</f>
        <v>0.55321940095923883</v>
      </c>
      <c r="G107" s="57"/>
      <c r="H107" s="16"/>
      <c r="I107" s="16"/>
      <c r="J107" s="16"/>
    </row>
    <row r="108" spans="4:14">
      <c r="E108" s="16"/>
      <c r="F108" s="60"/>
      <c r="G108" s="16"/>
      <c r="H108" s="16"/>
      <c r="I108" s="16"/>
      <c r="J108" s="16"/>
    </row>
    <row r="109" spans="4:14">
      <c r="E109" s="16"/>
      <c r="F109" s="16"/>
      <c r="G109" s="16"/>
      <c r="H109" s="16"/>
      <c r="I109" s="16"/>
      <c r="J109" s="16"/>
    </row>
    <row r="110" spans="4:14">
      <c r="E110" s="129" t="s">
        <v>112</v>
      </c>
      <c r="F110" s="133" t="s">
        <v>96</v>
      </c>
      <c r="G110" s="135" t="s">
        <v>95</v>
      </c>
      <c r="H110" s="16"/>
      <c r="I110" s="16"/>
      <c r="J110" s="16"/>
    </row>
    <row r="111" spans="4:14">
      <c r="E111" s="130" t="s">
        <v>94</v>
      </c>
      <c r="F111" s="134"/>
      <c r="G111" s="136"/>
      <c r="H111" s="16"/>
      <c r="I111" s="16"/>
      <c r="J111" s="16"/>
    </row>
    <row r="112" spans="4:14">
      <c r="E112" s="92" t="s">
        <v>92</v>
      </c>
      <c r="F112" s="61">
        <v>125000</v>
      </c>
      <c r="G112" s="94">
        <f>+SUM(F112*F119)</f>
        <v>16750000</v>
      </c>
      <c r="H112" s="16"/>
      <c r="I112" s="16"/>
      <c r="J112" s="16"/>
    </row>
    <row r="113" spans="4:10">
      <c r="D113" s="31"/>
      <c r="E113" s="93" t="s">
        <v>93</v>
      </c>
      <c r="F113" s="16"/>
      <c r="G113" s="109">
        <v>18000000</v>
      </c>
      <c r="H113" s="16"/>
      <c r="I113" s="16"/>
      <c r="J113" s="16"/>
    </row>
    <row r="114" spans="4:10">
      <c r="D114" s="31"/>
      <c r="E114" s="93" t="s">
        <v>107</v>
      </c>
      <c r="F114" s="16"/>
      <c r="G114" s="109">
        <v>30000000</v>
      </c>
      <c r="H114" s="16"/>
      <c r="I114" s="16"/>
      <c r="J114" s="16"/>
    </row>
    <row r="115" spans="4:10">
      <c r="D115" s="31"/>
      <c r="E115" s="93" t="s">
        <v>108</v>
      </c>
      <c r="F115" s="16"/>
      <c r="G115" s="109">
        <v>5000000</v>
      </c>
      <c r="H115" s="16"/>
      <c r="I115" s="16"/>
      <c r="J115" s="16"/>
    </row>
    <row r="116" spans="4:10">
      <c r="D116" s="31"/>
      <c r="E116" s="108" t="s">
        <v>109</v>
      </c>
      <c r="F116" s="56"/>
      <c r="G116" s="110">
        <f>+SUM(G112:G115)</f>
        <v>69750000</v>
      </c>
      <c r="H116" s="16"/>
      <c r="I116" s="16"/>
      <c r="J116" s="16"/>
    </row>
    <row r="117" spans="4:10">
      <c r="E117" s="111" t="s">
        <v>110</v>
      </c>
      <c r="F117" s="16"/>
      <c r="G117" s="113"/>
      <c r="H117" s="16"/>
      <c r="I117" s="16"/>
      <c r="J117" s="16"/>
    </row>
    <row r="118" spans="4:10">
      <c r="D118" s="31"/>
      <c r="E118" s="107" t="s">
        <v>101</v>
      </c>
      <c r="F118" s="22">
        <v>20000000</v>
      </c>
      <c r="G118" s="115" t="s">
        <v>102</v>
      </c>
      <c r="H118" s="16"/>
      <c r="I118" s="16"/>
      <c r="J118" s="16"/>
    </row>
    <row r="119" spans="4:10">
      <c r="D119" s="31"/>
      <c r="E119" s="107" t="s">
        <v>97</v>
      </c>
      <c r="F119" s="16">
        <v>134</v>
      </c>
      <c r="G119" s="115" t="s">
        <v>98</v>
      </c>
      <c r="H119" s="16"/>
      <c r="I119" s="16"/>
      <c r="J119" s="16"/>
    </row>
    <row r="120" spans="4:10">
      <c r="D120" s="31"/>
      <c r="E120" s="112" t="s">
        <v>99</v>
      </c>
      <c r="F120" s="56">
        <v>17</v>
      </c>
      <c r="G120" s="123" t="s">
        <v>100</v>
      </c>
      <c r="H120" s="16"/>
      <c r="I120" s="16"/>
      <c r="J120" s="16"/>
    </row>
    <row r="121" spans="4:10">
      <c r="E121" s="16"/>
      <c r="F121" s="16"/>
      <c r="G121" s="16"/>
      <c r="H121" s="16"/>
      <c r="I121" s="16"/>
      <c r="J121" s="16"/>
    </row>
    <row r="122" spans="4:10">
      <c r="E122" s="16"/>
      <c r="F122" s="16"/>
      <c r="G122" s="16"/>
      <c r="H122" s="16"/>
      <c r="I122" s="16"/>
      <c r="J122" s="16"/>
    </row>
    <row r="123" spans="4:10">
      <c r="E123" s="16"/>
      <c r="F123" s="16"/>
      <c r="G123" s="16"/>
      <c r="H123" s="16"/>
      <c r="I123" s="16"/>
      <c r="J123" s="16"/>
    </row>
    <row r="124" spans="4:10">
      <c r="E124" s="16"/>
      <c r="F124" s="16"/>
      <c r="G124" s="16"/>
      <c r="H124" s="16"/>
      <c r="I124" s="16"/>
      <c r="J124" s="16"/>
    </row>
    <row r="125" spans="4:10">
      <c r="E125" s="16"/>
      <c r="F125" s="16"/>
      <c r="G125" s="16"/>
      <c r="H125" s="16"/>
      <c r="I125" s="16"/>
      <c r="J125" s="16"/>
    </row>
  </sheetData>
  <mergeCells count="16">
    <mergeCell ref="F25:F26"/>
    <mergeCell ref="G25:G26"/>
    <mergeCell ref="F73:F74"/>
    <mergeCell ref="G73:G74"/>
    <mergeCell ref="F58:F59"/>
    <mergeCell ref="G58:G59"/>
    <mergeCell ref="N82:N83"/>
    <mergeCell ref="F40:F41"/>
    <mergeCell ref="G40:G41"/>
    <mergeCell ref="F110:F111"/>
    <mergeCell ref="G110:G111"/>
    <mergeCell ref="J82:J83"/>
    <mergeCell ref="F82:F83"/>
    <mergeCell ref="G82:G83"/>
    <mergeCell ref="F100:F101"/>
    <mergeCell ref="G100:G101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Lawson</dc:creator>
  <cp:lastModifiedBy>0wner</cp:lastModifiedBy>
  <dcterms:created xsi:type="dcterms:W3CDTF">2020-05-10T02:53:07Z</dcterms:created>
  <dcterms:modified xsi:type="dcterms:W3CDTF">2022-11-01T17:40:33Z</dcterms:modified>
</cp:coreProperties>
</file>